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ys\Andy Spears Team Dropbox\Dropbox\Andy Spears Team Folder\ActiveListings\"/>
    </mc:Choice>
  </mc:AlternateContent>
  <xr:revisionPtr revIDLastSave="0" documentId="13_ncr:1_{396F881A-6C1B-45F6-A16E-595A24BA4F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" sheetId="1" r:id="rId1"/>
  </sheets>
  <definedNames>
    <definedName name="_xlnm.Print_Area" localSheetId="0">Form!$A$41:$N$112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4" i="1" l="1"/>
  <c r="H56" i="1"/>
  <c r="H57" i="1"/>
  <c r="N52" i="1"/>
  <c r="N56" i="1" s="1"/>
  <c r="N57" i="1" l="1"/>
  <c r="N47" i="1"/>
  <c r="J64" i="1" l="1"/>
  <c r="D47" i="1"/>
  <c r="E49" i="1"/>
  <c r="N49" i="1"/>
  <c r="J52" i="1"/>
  <c r="L52" i="1"/>
  <c r="N102" i="1"/>
  <c r="N76" i="1"/>
  <c r="L76" i="1"/>
  <c r="J76" i="1"/>
  <c r="J88" i="1"/>
  <c r="H103" i="1"/>
  <c r="H102" i="1"/>
  <c r="H74" i="1"/>
  <c r="E29" i="1"/>
  <c r="E64" i="1"/>
  <c r="J70" i="1"/>
  <c r="J72" i="1"/>
  <c r="C74" i="1"/>
  <c r="C76" i="1"/>
  <c r="J90" i="1"/>
  <c r="D92" i="1"/>
  <c r="J92" i="1"/>
  <c r="C126" i="1"/>
  <c r="C127" i="1"/>
  <c r="C128" i="1"/>
  <c r="L56" i="1" l="1"/>
  <c r="L57" i="1"/>
  <c r="J57" i="1"/>
  <c r="J56" i="1"/>
  <c r="L102" i="1"/>
  <c r="J60" i="1"/>
  <c r="L66" i="1"/>
  <c r="J62" i="1"/>
  <c r="J124" i="1"/>
  <c r="J125" i="1"/>
  <c r="N103" i="1"/>
  <c r="N128" i="1"/>
  <c r="J74" i="1"/>
  <c r="N68" i="1"/>
  <c r="L70" i="1"/>
  <c r="L127" i="1"/>
  <c r="L74" i="1"/>
  <c r="L60" i="1"/>
  <c r="N88" i="1"/>
  <c r="N82" i="1"/>
  <c r="N64" i="1"/>
  <c r="N72" i="1"/>
  <c r="N126" i="1"/>
  <c r="N62" i="1"/>
  <c r="N124" i="1"/>
  <c r="L124" i="1"/>
  <c r="L125" i="1"/>
  <c r="J127" i="1"/>
  <c r="J103" i="1"/>
  <c r="L64" i="1"/>
  <c r="J102" i="1"/>
  <c r="L62" i="1"/>
  <c r="L92" i="1"/>
  <c r="J82" i="1"/>
  <c r="N66" i="1"/>
  <c r="N60" i="1"/>
  <c r="J126" i="1"/>
  <c r="N125" i="1"/>
  <c r="J128" i="1"/>
  <c r="L68" i="1"/>
  <c r="L126" i="1"/>
  <c r="N90" i="1"/>
  <c r="J68" i="1"/>
  <c r="L88" i="1"/>
  <c r="N74" i="1"/>
  <c r="N92" i="1"/>
  <c r="L103" i="1"/>
  <c r="L72" i="1"/>
  <c r="N70" i="1"/>
  <c r="L90" i="1"/>
  <c r="J66" i="1"/>
  <c r="N127" i="1"/>
  <c r="L128" i="1"/>
  <c r="L82" i="1"/>
  <c r="N129" i="1" l="1"/>
  <c r="N130" i="1" s="1"/>
  <c r="N59" i="1" s="1"/>
  <c r="L129" i="1"/>
  <c r="L130" i="1" s="1"/>
  <c r="L59" i="1" s="1"/>
  <c r="J129" i="1"/>
  <c r="J130" i="1" s="1"/>
  <c r="L78" i="1" l="1"/>
  <c r="L84" i="1" s="1"/>
  <c r="L86" i="1" s="1"/>
  <c r="L94" i="1" s="1"/>
  <c r="J59" i="1"/>
  <c r="J78" i="1" s="1"/>
  <c r="N78" i="1" l="1"/>
  <c r="N84" i="1" s="1"/>
  <c r="N86" i="1" s="1"/>
  <c r="N94" i="1" s="1"/>
  <c r="J84" i="1"/>
  <c r="J86" i="1" s="1"/>
  <c r="J94" i="1" s="1"/>
</calcChain>
</file>

<file path=xl/sharedStrings.xml><?xml version="1.0" encoding="utf-8"?>
<sst xmlns="http://schemas.openxmlformats.org/spreadsheetml/2006/main" count="92" uniqueCount="76">
  <si>
    <t>SELLER(S):</t>
  </si>
  <si>
    <t>PROPERTY ADDRESS:</t>
  </si>
  <si>
    <t>ESTIMATED SELLING EXPENSES</t>
  </si>
  <si>
    <t>Recording Satisfaction of Mortgage</t>
  </si>
  <si>
    <t>Attorney Fees</t>
  </si>
  <si>
    <t>Other</t>
  </si>
  <si>
    <t>TOTAL ESTIMATED SELLING EXPENSES</t>
  </si>
  <si>
    <t>ESTIMATED SELLER PROCEEDS</t>
  </si>
  <si>
    <t>+</t>
  </si>
  <si>
    <t>Sale Price</t>
  </si>
  <si>
    <t>-</t>
  </si>
  <si>
    <t>Total Estimated Selling Expenses</t>
  </si>
  <si>
    <t>=</t>
  </si>
  <si>
    <t>Seller Proceeds Before Mortgages &amp; Other Liens</t>
  </si>
  <si>
    <t>Existing Mortgage &amp; Other Liens</t>
  </si>
  <si>
    <t>Seller</t>
  </si>
  <si>
    <t>Date</t>
  </si>
  <si>
    <t>Sales Associate</t>
  </si>
  <si>
    <t>DATE:</t>
  </si>
  <si>
    <t>SELLING PRICE</t>
  </si>
  <si>
    <t>Home Warranty</t>
  </si>
  <si>
    <t>The Associate has prepared these estimated costs to the best of his/her knowledge.</t>
  </si>
  <si>
    <t>Title Fees: closing/search/exam</t>
  </si>
  <si>
    <t>SELLER NAME:</t>
  </si>
  <si>
    <t>This form is used to estimate the probable charges incurred in the sale of a home.  It is based on current FEES locally being charged.  This does not guarantee and/or certify that expenses may not exceed or be less than this estimate.</t>
  </si>
  <si>
    <t>Repairs</t>
  </si>
  <si>
    <t>Wood destroying organisms</t>
  </si>
  <si>
    <t>DATE (today)</t>
  </si>
  <si>
    <t>Title Fees:</t>
  </si>
  <si>
    <t xml:space="preserve">  Closing Fee/Settlement Fee</t>
  </si>
  <si>
    <t xml:space="preserve">  Title Search Fee/Abstract Fee</t>
  </si>
  <si>
    <t xml:space="preserve">  Title Exam Fee</t>
  </si>
  <si>
    <t xml:space="preserve">  Filing/Storage Fee</t>
  </si>
  <si>
    <t xml:space="preserve">  Courier/overnight fee (if applicable)</t>
  </si>
  <si>
    <t xml:space="preserve">  Wire Fee (if applicable)</t>
  </si>
  <si>
    <t xml:space="preserve">  City lien search fee (if applicable)</t>
  </si>
  <si>
    <t>Total Title Fees</t>
  </si>
  <si>
    <t>Other reduction to Seller's Proceeds:</t>
  </si>
  <si>
    <t>The following represents your estimated maximum obligation for repairs and/or wood destroying organisms, these possible costs are NOT included in your estimated net proceeds.</t>
  </si>
  <si>
    <t>ESTIMATED NET PROCEEDS to seller</t>
  </si>
  <si>
    <t>2nd Mortgage &amp; Equity Line of Credit</t>
  </si>
  <si>
    <t>Note:</t>
  </si>
  <si>
    <t>SELLER'S ESTIMATED CLOSING STATEMENT</t>
  </si>
  <si>
    <t>Proposed Sales Price - 1st</t>
  </si>
  <si>
    <t>Proposed Sales Price - 2nd</t>
  </si>
  <si>
    <t>Proposed Sales Price - 3rd</t>
  </si>
  <si>
    <t>Repairs, maximum obligation percentage</t>
  </si>
  <si>
    <t>Wood destroying organisms, maximum obligation percentage</t>
  </si>
  <si>
    <t>DATE (projected closing date)</t>
  </si>
  <si>
    <t>EST'D CLOSING DATE:</t>
  </si>
  <si>
    <t>The above costs do not include refunds, prorations or any prepayment charges.</t>
  </si>
  <si>
    <t>All yellow areas can be changed</t>
  </si>
  <si>
    <t>Policy Amount</t>
  </si>
  <si>
    <t>Cost Per $1,000</t>
  </si>
  <si>
    <t>Over</t>
  </si>
  <si>
    <t>Up To</t>
  </si>
  <si>
    <t>Total</t>
  </si>
  <si>
    <t>Minimum</t>
  </si>
  <si>
    <t>Calculation of Title Insurance Premiums: (calculation purposes only)</t>
  </si>
  <si>
    <t>Real estate taxes are calculated only for the year of closing, if the prior year is still unpaid, it should be entered separately as an other expense.</t>
  </si>
  <si>
    <t>Real estate taxes are based on prior year taxes .</t>
  </si>
  <si>
    <t>Other selling expenses (ie: utility search, termite inspection, FHA or VA mtg disc fee, estoppel fee)</t>
  </si>
  <si>
    <r>
      <t xml:space="preserve">PLEASE FILL IN THE PERTINENT INFORMATION BELOW (yellow areas </t>
    </r>
    <r>
      <rPr>
        <b/>
        <sz val="14"/>
        <color indexed="10"/>
        <rFont val="Arial"/>
        <family val="2"/>
      </rPr>
      <t>ONLY</t>
    </r>
    <r>
      <rPr>
        <b/>
        <sz val="14"/>
        <rFont val="Arial"/>
        <family val="2"/>
      </rPr>
      <t>):</t>
    </r>
  </si>
  <si>
    <t>days prorated</t>
  </si>
  <si>
    <t>Seller Credit to Buyers</t>
  </si>
  <si>
    <t xml:space="preserve">Title Insurance Premium (promulgated) </t>
  </si>
  <si>
    <t>Transfer Taxes (0.70/100 of sales price)</t>
  </si>
  <si>
    <t>Property Taxes (based on prior year's taxes)</t>
  </si>
  <si>
    <t>Brokers Additional Fee to RE/MAX of Stuart</t>
  </si>
  <si>
    <t>Listing Broker Compensation</t>
  </si>
  <si>
    <t>Listing Broker's Compensation Fee</t>
  </si>
  <si>
    <t>Buyer's Broker's Compensation Fee</t>
  </si>
  <si>
    <t>Buyer's Broker Compensation</t>
  </si>
  <si>
    <t>Property Taxes (2025)</t>
  </si>
  <si>
    <t>Bob &amp; Mary Sellers</t>
  </si>
  <si>
    <t>123 Main St., Stuart, FL 34994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</si>
</sst>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5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b/>
      <sz val="14"/>
      <color indexed="10"/>
      <name val="Arial"/>
      <family val="2"/>
    </font>
    <font>
      <i/>
      <sz val="10"/>
      <name val="Arial"/>
      <family val="2"/>
    </font>
    <font>
      <sz val="8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3" fillId="0" borderId="0" xfId="0" applyFont="1"/>
    <xf numFmtId="44" fontId="0" fillId="0" borderId="0" xfId="1" applyFont="1"/>
    <xf numFmtId="0" fontId="8" fillId="0" borderId="0" xfId="0" applyFont="1"/>
    <xf numFmtId="0" fontId="0" fillId="0" borderId="0" xfId="0" applyProtection="1">
      <protection locked="0"/>
    </xf>
    <xf numFmtId="14" fontId="0" fillId="2" borderId="1" xfId="0" applyNumberFormat="1" applyFill="1" applyBorder="1" applyProtection="1">
      <protection locked="0"/>
    </xf>
    <xf numFmtId="44" fontId="0" fillId="0" borderId="0" xfId="1" applyFont="1" applyProtection="1">
      <protection locked="0"/>
    </xf>
    <xf numFmtId="14" fontId="0" fillId="2" borderId="2" xfId="0" applyNumberFormat="1" applyFill="1" applyBorder="1" applyProtection="1">
      <protection locked="0"/>
    </xf>
    <xf numFmtId="3" fontId="0" fillId="2" borderId="1" xfId="0" applyNumberFormat="1" applyFill="1" applyBorder="1" applyProtection="1">
      <protection locked="0"/>
    </xf>
    <xf numFmtId="3" fontId="0" fillId="2" borderId="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4" fontId="0" fillId="2" borderId="1" xfId="0" applyNumberFormat="1" applyFill="1" applyBorder="1" applyProtection="1">
      <protection locked="0"/>
    </xf>
    <xf numFmtId="4" fontId="0" fillId="2" borderId="3" xfId="0" applyNumberFormat="1" applyFill="1" applyBorder="1"/>
    <xf numFmtId="3" fontId="0" fillId="0" borderId="0" xfId="0" applyNumberFormat="1" applyAlignment="1" applyProtection="1">
      <alignment horizontal="left"/>
      <protection locked="0"/>
    </xf>
    <xf numFmtId="43" fontId="0" fillId="0" borderId="0" xfId="1" applyNumberFormat="1" applyFont="1" applyProtection="1"/>
    <xf numFmtId="4" fontId="0" fillId="2" borderId="2" xfId="0" applyNumberFormat="1" applyFill="1" applyBorder="1" applyProtection="1">
      <protection locked="0"/>
    </xf>
    <xf numFmtId="44" fontId="8" fillId="0" borderId="0" xfId="1" applyFont="1"/>
    <xf numFmtId="44" fontId="0" fillId="0" borderId="0" xfId="1" applyFont="1" applyProtection="1"/>
    <xf numFmtId="14" fontId="9" fillId="0" borderId="1" xfId="1" applyNumberFormat="1" applyFont="1" applyBorder="1" applyAlignment="1" applyProtection="1">
      <alignment horizontal="center"/>
    </xf>
    <xf numFmtId="0" fontId="11" fillId="0" borderId="0" xfId="0" applyFont="1" applyAlignment="1">
      <alignment horizontal="right"/>
    </xf>
    <xf numFmtId="0" fontId="5" fillId="3" borderId="0" xfId="0" applyFont="1" applyFill="1"/>
    <xf numFmtId="0" fontId="6" fillId="3" borderId="0" xfId="0" applyFont="1" applyFill="1"/>
    <xf numFmtId="44" fontId="2" fillId="0" borderId="1" xfId="1" applyFont="1" applyBorder="1" applyAlignment="1" applyProtection="1">
      <alignment shrinkToFit="1"/>
    </xf>
    <xf numFmtId="0" fontId="2" fillId="0" borderId="0" xfId="0" applyFont="1" applyAlignment="1">
      <alignment shrinkToFit="1"/>
    </xf>
    <xf numFmtId="44" fontId="0" fillId="0" borderId="1" xfId="1" applyFont="1" applyBorder="1" applyProtection="1"/>
    <xf numFmtId="43" fontId="0" fillId="0" borderId="1" xfId="0" applyNumberFormat="1" applyBorder="1"/>
    <xf numFmtId="43" fontId="0" fillId="0" borderId="0" xfId="0" applyNumberFormat="1"/>
    <xf numFmtId="43" fontId="0" fillId="0" borderId="1" xfId="1" applyNumberFormat="1" applyFont="1" applyBorder="1" applyProtection="1"/>
    <xf numFmtId="0" fontId="0" fillId="0" borderId="0" xfId="0" applyAlignment="1">
      <alignment horizontal="right"/>
    </xf>
    <xf numFmtId="1" fontId="0" fillId="0" borderId="0" xfId="0" applyNumberFormat="1" applyAlignment="1">
      <alignment horizontal="center"/>
    </xf>
    <xf numFmtId="0" fontId="0" fillId="0" borderId="1" xfId="0" applyBorder="1"/>
    <xf numFmtId="44" fontId="2" fillId="0" borderId="1" xfId="1" applyFont="1" applyBorder="1" applyProtection="1"/>
    <xf numFmtId="0" fontId="0" fillId="0" borderId="0" xfId="0" quotePrefix="1" applyAlignment="1">
      <alignment horizontal="center"/>
    </xf>
    <xf numFmtId="44" fontId="0" fillId="0" borderId="1" xfId="1" applyFont="1" applyBorder="1" applyAlignment="1" applyProtection="1">
      <alignment shrinkToFit="1"/>
    </xf>
    <xf numFmtId="0" fontId="0" fillId="0" borderId="0" xfId="0" applyAlignment="1">
      <alignment shrinkToFit="1"/>
    </xf>
    <xf numFmtId="43" fontId="0" fillId="0" borderId="1" xfId="1" applyNumberFormat="1" applyFont="1" applyBorder="1" applyAlignment="1" applyProtection="1">
      <alignment shrinkToFit="1"/>
    </xf>
    <xf numFmtId="43" fontId="0" fillId="0" borderId="0" xfId="0" applyNumberFormat="1" applyAlignment="1">
      <alignment shrinkToFit="1"/>
    </xf>
    <xf numFmtId="43" fontId="0" fillId="0" borderId="0" xfId="1" applyNumberFormat="1" applyFont="1" applyAlignment="1" applyProtection="1">
      <alignment shrinkToFit="1"/>
    </xf>
    <xf numFmtId="43" fontId="0" fillId="0" borderId="1" xfId="1" applyNumberFormat="1" applyFont="1" applyFill="1" applyBorder="1" applyAlignment="1" applyProtection="1">
      <alignment shrinkToFit="1"/>
    </xf>
    <xf numFmtId="43" fontId="0" fillId="0" borderId="0" xfId="1" applyNumberFormat="1" applyFont="1" applyFill="1" applyAlignment="1" applyProtection="1">
      <alignment shrinkToFit="1"/>
    </xf>
    <xf numFmtId="44" fontId="0" fillId="0" borderId="0" xfId="1" applyFont="1" applyAlignment="1" applyProtection="1">
      <alignment shrinkToFit="1"/>
    </xf>
    <xf numFmtId="0" fontId="2" fillId="0" borderId="0" xfId="0" quotePrefix="1" applyFont="1" applyAlignment="1">
      <alignment horizontal="center"/>
    </xf>
    <xf numFmtId="0" fontId="12" fillId="0" borderId="0" xfId="0" applyFont="1"/>
    <xf numFmtId="44" fontId="3" fillId="0" borderId="0" xfId="1" applyFont="1" applyProtection="1"/>
    <xf numFmtId="44" fontId="3" fillId="0" borderId="1" xfId="1" applyFont="1" applyBorder="1" applyProtection="1"/>
    <xf numFmtId="44" fontId="2" fillId="0" borderId="0" xfId="1" applyFont="1" applyAlignment="1" applyProtection="1">
      <alignment horizontal="right"/>
    </xf>
    <xf numFmtId="44" fontId="0" fillId="0" borderId="0" xfId="1" applyFont="1" applyAlignment="1" applyProtection="1">
      <alignment horizontal="right"/>
    </xf>
    <xf numFmtId="0" fontId="14" fillId="0" borderId="0" xfId="0" applyFont="1"/>
    <xf numFmtId="0" fontId="13" fillId="0" borderId="0" xfId="0" applyFont="1"/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3" fontId="0" fillId="0" borderId="0" xfId="0" applyNumberFormat="1"/>
    <xf numFmtId="2" fontId="0" fillId="0" borderId="0" xfId="0" applyNumberFormat="1"/>
    <xf numFmtId="5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14" fontId="0" fillId="0" borderId="0" xfId="0" applyNumberFormat="1"/>
    <xf numFmtId="16" fontId="0" fillId="0" borderId="0" xfId="0" applyNumberFormat="1"/>
    <xf numFmtId="44" fontId="0" fillId="0" borderId="1" xfId="1" applyFont="1" applyFill="1" applyBorder="1" applyProtection="1"/>
    <xf numFmtId="10" fontId="0" fillId="2" borderId="2" xfId="2" applyNumberFormat="1" applyFont="1" applyFill="1" applyBorder="1" applyProtection="1">
      <protection locked="0"/>
    </xf>
    <xf numFmtId="9" fontId="0" fillId="0" borderId="0" xfId="2" applyFont="1" applyFill="1" applyAlignment="1" applyProtection="1">
      <alignment horizontal="right" shrinkToFit="1"/>
    </xf>
    <xf numFmtId="164" fontId="0" fillId="0" borderId="0" xfId="2" applyNumberFormat="1" applyFont="1" applyAlignment="1" applyProtection="1">
      <alignment horizontal="right" shrinkToFit="1"/>
    </xf>
    <xf numFmtId="164" fontId="3" fillId="0" borderId="0" xfId="0" applyNumberFormat="1" applyFont="1"/>
    <xf numFmtId="14" fontId="16" fillId="0" borderId="0" xfId="0" applyNumberFormat="1" applyFont="1" applyAlignment="1">
      <alignment horizontal="right"/>
    </xf>
    <xf numFmtId="0" fontId="1" fillId="0" borderId="0" xfId="0" applyFont="1"/>
    <xf numFmtId="0" fontId="17" fillId="0" borderId="0" xfId="0" applyFont="1"/>
    <xf numFmtId="14" fontId="0" fillId="0" borderId="0" xfId="0" applyNumberFormat="1" applyAlignment="1">
      <alignment horizontal="center"/>
    </xf>
    <xf numFmtId="10" fontId="0" fillId="2" borderId="1" xfId="2" applyNumberFormat="1" applyFont="1" applyFill="1" applyBorder="1" applyProtection="1">
      <protection locked="0"/>
    </xf>
    <xf numFmtId="44" fontId="0" fillId="0" borderId="0" xfId="1" applyFont="1" applyBorder="1" applyProtection="1"/>
    <xf numFmtId="14" fontId="9" fillId="0" borderId="0" xfId="1" applyNumberFormat="1" applyFont="1" applyFill="1" applyBorder="1" applyAlignment="1" applyProtection="1">
      <alignment horizontal="center"/>
    </xf>
    <xf numFmtId="44" fontId="2" fillId="0" borderId="1" xfId="1" applyFont="1" applyFill="1" applyBorder="1" applyAlignment="1" applyProtection="1">
      <alignment shrinkToFit="1"/>
    </xf>
    <xf numFmtId="0" fontId="0" fillId="4" borderId="0" xfId="0" applyFill="1"/>
    <xf numFmtId="43" fontId="0" fillId="4" borderId="1" xfId="0" applyNumberFormat="1" applyFill="1" applyBorder="1"/>
    <xf numFmtId="0" fontId="10" fillId="0" borderId="0" xfId="0" applyFont="1" applyAlignment="1">
      <alignment horizont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3" fillId="0" borderId="0" xfId="0" applyFont="1" applyAlignment="1">
      <alignment horizontal="left" wrapText="1"/>
    </xf>
    <xf numFmtId="3" fontId="3" fillId="2" borderId="1" xfId="0" applyNumberFormat="1" applyFont="1" applyFill="1" applyBorder="1" applyAlignment="1" applyProtection="1">
      <alignment horizontal="left"/>
      <protection locked="0"/>
    </xf>
    <xf numFmtId="3" fontId="0" fillId="2" borderId="1" xfId="0" applyNumberFormat="1" applyFill="1" applyBorder="1" applyAlignment="1" applyProtection="1">
      <alignment horizontal="left"/>
      <protection locked="0"/>
    </xf>
    <xf numFmtId="3" fontId="0" fillId="2" borderId="2" xfId="0" applyNumberFormat="1" applyFill="1" applyBorder="1" applyAlignment="1" applyProtection="1">
      <alignment horizontal="left"/>
      <protection locked="0"/>
    </xf>
    <xf numFmtId="44" fontId="0" fillId="0" borderId="0" xfId="1" applyFont="1" applyBorder="1" applyAlignment="1" applyProtection="1">
      <alignment horizontal="right"/>
    </xf>
    <xf numFmtId="0" fontId="7" fillId="0" borderId="1" xfId="0" applyFont="1" applyBorder="1" applyAlignment="1">
      <alignment horizontal="left" shrinkToFit="1"/>
    </xf>
    <xf numFmtId="0" fontId="0" fillId="0" borderId="1" xfId="0" applyBorder="1" applyAlignment="1">
      <alignment horizontal="left" shrinkToFit="1"/>
    </xf>
    <xf numFmtId="3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4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129068</xdr:colOff>
      <xdr:row>41</xdr:row>
      <xdr:rowOff>30279</xdr:rowOff>
    </xdr:from>
    <xdr:to>
      <xdr:col>4</xdr:col>
      <xdr:colOff>371474</xdr:colOff>
      <xdr:row>46</xdr:row>
      <xdr:rowOff>150843</xdr:rowOff>
    </xdr:to>
    <xdr:pic>
      <xdr:nvPicPr>
        <xdr:cNvPr id="1272" name="Picture 2">
          <a:extLst>
            <a:ext uri="{FF2B5EF4-FFF2-40B4-BE49-F238E27FC236}">
              <a16:creationId xmlns:a16="http://schemas.microsoft.com/office/drawing/2014/main" id="{60B8A709-75B2-49BC-B2BB-AF30C9713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9068" y="6754929"/>
          <a:ext cx="1737831" cy="882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879F5A08-232B-4B7F-8080-73E44DDE6E6D}">
  <we:reference id="wa200005271" version="2.5.5.0" store="en-US" storeType="OMEX"/>
  <we:alternateReferences>
    <we:reference id="wa200005271" version="2.5.5.0" store="wa200005271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_xldudf_AI_TABLE</we:customFunctionIds>
        <we:customFunctionIds>_xldudf_AI_FILL</we:customFunctionIds>
        <we:customFunctionIds>_xldudf_AI_LIST</we:customFunctionIds>
        <we:customFunctionIds>_xldudf_AI_ASK</we:customFunctionIds>
        <we:customFunctionIds>_xldudf_AI_FORMAT</we:customFunctionIds>
        <we:customFunctionIds>_xldudf_AI_EXTRACT</we:customFunctionIds>
        <we:customFunctionIds>_xldudf_AI_TRANSLATE</we:customFunctionIds>
        <we:customFunctionIds>_xldudf_AI_CHOICE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33"/>
  <sheetViews>
    <sheetView tabSelected="1" topLeftCell="A3" workbookViewId="0">
      <selection activeCell="E32" sqref="E32"/>
    </sheetView>
  </sheetViews>
  <sheetFormatPr defaultRowHeight="12.75" x14ac:dyDescent="0.2"/>
  <cols>
    <col min="1" max="1" width="3.28515625" style="1" customWidth="1"/>
    <col min="2" max="2" width="6.140625" customWidth="1"/>
    <col min="3" max="3" width="5.28515625" customWidth="1"/>
    <col min="4" max="4" width="7.7109375" customWidth="1"/>
    <col min="5" max="5" width="11.28515625" customWidth="1"/>
    <col min="6" max="6" width="4.140625" customWidth="1"/>
    <col min="7" max="7" width="9.7109375" customWidth="1"/>
    <col min="8" max="8" width="5.7109375" customWidth="1"/>
    <col min="9" max="9" width="2.85546875" customWidth="1"/>
    <col min="10" max="10" width="13.7109375" style="3" customWidth="1"/>
    <col min="11" max="11" width="2.7109375" customWidth="1"/>
    <col min="12" max="12" width="13.7109375" customWidth="1"/>
    <col min="13" max="13" width="2.7109375" customWidth="1"/>
    <col min="14" max="14" width="14.140625" style="3" customWidth="1"/>
    <col min="15" max="18" width="10.140625" bestFit="1" customWidth="1"/>
  </cols>
  <sheetData>
    <row r="1" spans="1:16" ht="18" x14ac:dyDescent="0.25">
      <c r="A1" s="4" t="s">
        <v>62</v>
      </c>
    </row>
    <row r="3" spans="1:16" ht="18" x14ac:dyDescent="0.25">
      <c r="A3" s="1" t="s">
        <v>23</v>
      </c>
      <c r="E3" s="74" t="s">
        <v>74</v>
      </c>
      <c r="F3" s="75"/>
      <c r="G3" s="75"/>
      <c r="H3" s="75"/>
      <c r="I3" s="75"/>
      <c r="J3" s="75"/>
      <c r="K3" s="75"/>
      <c r="L3" s="75"/>
      <c r="N3" s="17" t="s">
        <v>51</v>
      </c>
    </row>
    <row r="4" spans="1:16" x14ac:dyDescent="0.2">
      <c r="A4" s="1" t="s">
        <v>1</v>
      </c>
      <c r="E4" s="76" t="s">
        <v>75</v>
      </c>
      <c r="F4" s="77"/>
      <c r="G4" s="77"/>
      <c r="H4" s="77"/>
      <c r="I4" s="77"/>
      <c r="J4" s="77"/>
      <c r="K4" s="77"/>
      <c r="L4" s="77"/>
      <c r="N4"/>
    </row>
    <row r="5" spans="1:16" x14ac:dyDescent="0.2">
      <c r="E5" s="6">
        <v>46104</v>
      </c>
      <c r="F5" s="5"/>
      <c r="G5" s="1" t="s">
        <v>27</v>
      </c>
      <c r="H5" s="5"/>
      <c r="I5" s="5"/>
      <c r="J5" s="7"/>
      <c r="K5" s="5"/>
      <c r="N5" s="56"/>
      <c r="P5" s="53"/>
    </row>
    <row r="6" spans="1:16" x14ac:dyDescent="0.2">
      <c r="E6" s="8">
        <v>46157</v>
      </c>
      <c r="F6" s="5"/>
      <c r="G6" s="1" t="s">
        <v>48</v>
      </c>
      <c r="H6" s="5"/>
      <c r="I6" s="5"/>
      <c r="J6" s="7"/>
      <c r="K6" s="5"/>
      <c r="L6" s="5"/>
      <c r="N6" s="56"/>
      <c r="P6" s="53"/>
    </row>
    <row r="7" spans="1:16" x14ac:dyDescent="0.2">
      <c r="E7" s="9">
        <v>750000</v>
      </c>
      <c r="F7" s="5"/>
      <c r="G7" s="1" t="s">
        <v>43</v>
      </c>
      <c r="H7" s="5"/>
      <c r="I7" s="5"/>
      <c r="J7" s="7"/>
      <c r="K7" s="5"/>
      <c r="L7" s="5"/>
      <c r="N7" s="56"/>
      <c r="P7" s="53"/>
    </row>
    <row r="8" spans="1:16" x14ac:dyDescent="0.2">
      <c r="E8" s="10">
        <v>800000</v>
      </c>
      <c r="F8" s="5"/>
      <c r="G8" s="1" t="s">
        <v>44</v>
      </c>
      <c r="H8" s="5"/>
      <c r="I8" s="5"/>
      <c r="J8" s="7"/>
      <c r="K8" s="5"/>
      <c r="L8" s="5"/>
      <c r="N8"/>
    </row>
    <row r="9" spans="1:16" x14ac:dyDescent="0.2">
      <c r="E9" s="10">
        <v>850000</v>
      </c>
      <c r="F9" s="5"/>
      <c r="G9" s="1" t="s">
        <v>45</v>
      </c>
      <c r="H9" s="5"/>
      <c r="I9" s="5"/>
      <c r="J9" s="7"/>
      <c r="K9" s="5"/>
      <c r="L9" s="5"/>
      <c r="N9"/>
    </row>
    <row r="10" spans="1:16" x14ac:dyDescent="0.2">
      <c r="E10" s="59">
        <v>2.5000000000000001E-2</v>
      </c>
      <c r="F10" s="5"/>
      <c r="G10" s="1" t="s">
        <v>69</v>
      </c>
      <c r="H10" s="5"/>
      <c r="I10" s="5"/>
      <c r="J10" s="7"/>
      <c r="K10" s="5"/>
      <c r="L10" s="5"/>
      <c r="N10"/>
    </row>
    <row r="11" spans="1:16" x14ac:dyDescent="0.2">
      <c r="E11" s="67">
        <v>2.5000000000000001E-2</v>
      </c>
      <c r="F11" s="5"/>
      <c r="G11" s="1" t="s">
        <v>72</v>
      </c>
      <c r="H11" s="5"/>
      <c r="I11" s="5"/>
      <c r="J11" s="7"/>
      <c r="K11" s="5"/>
      <c r="L11" s="5"/>
      <c r="N11"/>
    </row>
    <row r="12" spans="1:16" x14ac:dyDescent="0.2">
      <c r="E12" s="11">
        <v>10000</v>
      </c>
      <c r="F12" s="5"/>
      <c r="G12" s="1" t="s">
        <v>67</v>
      </c>
      <c r="H12" s="5"/>
      <c r="I12" s="5"/>
      <c r="J12" s="7"/>
      <c r="K12" s="5"/>
      <c r="L12" s="5"/>
    </row>
    <row r="13" spans="1:16" x14ac:dyDescent="0.2">
      <c r="E13" s="11">
        <v>399</v>
      </c>
      <c r="F13" s="5"/>
      <c r="G13" s="1" t="s">
        <v>68</v>
      </c>
      <c r="H13" s="5"/>
      <c r="I13" s="5"/>
      <c r="J13" s="7"/>
      <c r="K13" s="5"/>
      <c r="L13" s="5"/>
      <c r="O13" s="65"/>
    </row>
    <row r="14" spans="1:16" x14ac:dyDescent="0.2">
      <c r="E14" s="11">
        <v>35</v>
      </c>
      <c r="F14" s="5"/>
      <c r="G14" s="1" t="s">
        <v>3</v>
      </c>
      <c r="H14" s="5"/>
      <c r="I14" s="5"/>
      <c r="J14" s="7"/>
      <c r="K14" s="5"/>
      <c r="L14" s="5"/>
      <c r="O14" s="65"/>
    </row>
    <row r="15" spans="1:16" x14ac:dyDescent="0.2">
      <c r="E15" s="11">
        <v>0</v>
      </c>
      <c r="F15" s="5"/>
      <c r="G15" s="1" t="s">
        <v>4</v>
      </c>
      <c r="H15" s="5"/>
      <c r="I15" s="5"/>
      <c r="J15" s="7"/>
      <c r="K15" s="5"/>
      <c r="L15" s="5"/>
    </row>
    <row r="16" spans="1:16" x14ac:dyDescent="0.2">
      <c r="E16" s="11">
        <v>0</v>
      </c>
      <c r="F16" s="5"/>
      <c r="G16" s="1" t="s">
        <v>20</v>
      </c>
      <c r="H16" s="5"/>
      <c r="I16" s="5"/>
      <c r="J16" s="7"/>
      <c r="K16" s="5"/>
      <c r="L16" s="5"/>
    </row>
    <row r="17" spans="5:12" x14ac:dyDescent="0.2">
      <c r="E17" s="5"/>
      <c r="F17" s="5"/>
      <c r="G17" s="1" t="s">
        <v>61</v>
      </c>
      <c r="H17" s="5"/>
      <c r="I17" s="5"/>
      <c r="J17" s="7"/>
      <c r="K17" s="5"/>
      <c r="L17" s="5"/>
    </row>
    <row r="18" spans="5:12" x14ac:dyDescent="0.2">
      <c r="E18" s="59">
        <v>0</v>
      </c>
      <c r="F18" s="5"/>
      <c r="G18" s="79" t="s">
        <v>64</v>
      </c>
      <c r="H18" s="80"/>
      <c r="I18" s="80"/>
      <c r="J18" s="80"/>
      <c r="K18" s="80"/>
      <c r="L18" s="80"/>
    </row>
    <row r="19" spans="5:12" x14ac:dyDescent="0.2">
      <c r="E19" s="10"/>
      <c r="F19" s="5"/>
      <c r="G19" s="81"/>
      <c r="H19" s="81"/>
      <c r="I19" s="81"/>
      <c r="J19" s="81"/>
      <c r="K19" s="81"/>
      <c r="L19" s="81"/>
    </row>
    <row r="20" spans="5:12" ht="7.9" customHeight="1" x14ac:dyDescent="0.2">
      <c r="F20" s="5"/>
      <c r="G20" s="1"/>
      <c r="H20" s="5"/>
      <c r="I20" s="5"/>
      <c r="J20" s="7"/>
      <c r="K20" s="5"/>
      <c r="L20" s="5"/>
    </row>
    <row r="21" spans="5:12" x14ac:dyDescent="0.2">
      <c r="E21" s="5"/>
      <c r="F21" s="5"/>
      <c r="G21" s="1" t="s">
        <v>28</v>
      </c>
      <c r="H21" s="5"/>
      <c r="I21" s="5"/>
      <c r="J21" s="7"/>
      <c r="K21" s="5"/>
      <c r="L21" s="5"/>
    </row>
    <row r="22" spans="5:12" x14ac:dyDescent="0.2">
      <c r="E22" s="12">
        <v>800</v>
      </c>
      <c r="F22" s="5"/>
      <c r="G22" s="1" t="s">
        <v>29</v>
      </c>
      <c r="H22" s="5"/>
      <c r="I22" s="5"/>
      <c r="J22" s="7"/>
      <c r="K22" s="5"/>
      <c r="L22" s="5"/>
    </row>
    <row r="23" spans="5:12" x14ac:dyDescent="0.2">
      <c r="E23" s="16">
        <v>150</v>
      </c>
      <c r="F23" s="5"/>
      <c r="G23" s="1" t="s">
        <v>30</v>
      </c>
      <c r="H23" s="5"/>
      <c r="I23" s="5"/>
      <c r="J23" s="7"/>
      <c r="K23" s="5"/>
      <c r="L23" s="5"/>
    </row>
    <row r="24" spans="5:12" x14ac:dyDescent="0.2">
      <c r="E24" s="16">
        <v>100</v>
      </c>
      <c r="F24" s="5"/>
      <c r="G24" s="1" t="s">
        <v>31</v>
      </c>
      <c r="H24" s="5"/>
      <c r="I24" s="5"/>
      <c r="J24" s="7"/>
      <c r="K24" s="5"/>
      <c r="L24" s="5"/>
    </row>
    <row r="25" spans="5:12" x14ac:dyDescent="0.2">
      <c r="E25" s="16">
        <v>37.5</v>
      </c>
      <c r="F25" s="5"/>
      <c r="G25" s="1" t="s">
        <v>32</v>
      </c>
      <c r="H25" s="5"/>
      <c r="I25" s="5"/>
      <c r="J25" s="7"/>
      <c r="K25" s="5"/>
      <c r="L25" s="5"/>
    </row>
    <row r="26" spans="5:12" x14ac:dyDescent="0.2">
      <c r="E26" s="16">
        <v>30</v>
      </c>
      <c r="F26" s="5"/>
      <c r="G26" s="1" t="s">
        <v>34</v>
      </c>
      <c r="H26" s="5"/>
      <c r="I26" s="5"/>
      <c r="J26" s="7"/>
      <c r="K26" s="5"/>
      <c r="L26" s="5"/>
    </row>
    <row r="27" spans="5:12" x14ac:dyDescent="0.2">
      <c r="E27" s="12">
        <v>20</v>
      </c>
      <c r="F27" s="5"/>
      <c r="G27" s="1" t="s">
        <v>33</v>
      </c>
      <c r="H27" s="5"/>
      <c r="I27" s="5"/>
      <c r="J27" s="7"/>
      <c r="K27" s="5"/>
      <c r="L27" s="5"/>
    </row>
    <row r="28" spans="5:12" x14ac:dyDescent="0.2">
      <c r="E28" s="12">
        <v>25</v>
      </c>
      <c r="F28" s="5"/>
      <c r="G28" s="1" t="s">
        <v>35</v>
      </c>
      <c r="H28" s="5"/>
      <c r="I28" s="5"/>
      <c r="J28" s="7"/>
      <c r="K28" s="5"/>
      <c r="L28" s="5"/>
    </row>
    <row r="29" spans="5:12" ht="13.5" thickBot="1" x14ac:dyDescent="0.25">
      <c r="E29" s="13">
        <f>SUM(E22:E28)</f>
        <v>1162.5</v>
      </c>
      <c r="F29" s="5"/>
      <c r="G29" s="1" t="s">
        <v>36</v>
      </c>
      <c r="H29" s="5"/>
      <c r="I29" s="5"/>
      <c r="J29" s="7"/>
      <c r="K29" s="5"/>
      <c r="L29" s="5"/>
    </row>
    <row r="30" spans="5:12" ht="13.5" thickTop="1" x14ac:dyDescent="0.2">
      <c r="E30" s="5"/>
      <c r="F30" s="5"/>
      <c r="H30" s="5"/>
      <c r="I30" s="5"/>
      <c r="J30" s="7"/>
      <c r="K30" s="5"/>
      <c r="L30" s="5"/>
    </row>
    <row r="31" spans="5:12" x14ac:dyDescent="0.2">
      <c r="E31" s="9">
        <v>0</v>
      </c>
      <c r="F31" s="5"/>
      <c r="G31" s="1" t="s">
        <v>14</v>
      </c>
      <c r="H31" s="5"/>
      <c r="I31" s="5"/>
      <c r="J31" s="7"/>
      <c r="K31" s="5"/>
      <c r="L31" s="5"/>
    </row>
    <row r="32" spans="5:12" x14ac:dyDescent="0.2">
      <c r="E32" s="10">
        <v>0</v>
      </c>
      <c r="F32" s="5"/>
      <c r="G32" s="1" t="s">
        <v>40</v>
      </c>
      <c r="H32" s="5"/>
      <c r="I32" s="5"/>
      <c r="J32" s="7"/>
      <c r="K32" s="5"/>
      <c r="L32" s="5"/>
    </row>
    <row r="33" spans="1:15" x14ac:dyDescent="0.2">
      <c r="D33" s="57"/>
      <c r="E33" s="5"/>
      <c r="F33" s="5"/>
      <c r="G33" s="1" t="s">
        <v>37</v>
      </c>
      <c r="H33" s="5"/>
      <c r="I33" s="5"/>
      <c r="J33" s="7"/>
      <c r="K33" s="5"/>
      <c r="L33" s="5"/>
    </row>
    <row r="34" spans="1:15" x14ac:dyDescent="0.2">
      <c r="E34" s="10"/>
      <c r="F34" s="5"/>
      <c r="G34" s="81"/>
      <c r="H34" s="81"/>
      <c r="I34" s="81"/>
      <c r="J34" s="81"/>
      <c r="K34" s="81"/>
      <c r="L34" s="81"/>
    </row>
    <row r="35" spans="1:15" x14ac:dyDescent="0.2">
      <c r="J35"/>
    </row>
    <row r="36" spans="1:15" x14ac:dyDescent="0.2">
      <c r="E36" s="59">
        <v>1.4999999999999999E-2</v>
      </c>
      <c r="F36" s="5"/>
      <c r="G36" s="1" t="s">
        <v>46</v>
      </c>
      <c r="H36" s="14"/>
      <c r="I36" s="14"/>
      <c r="J36" s="14"/>
      <c r="K36" s="14"/>
      <c r="L36" s="14"/>
    </row>
    <row r="37" spans="1:15" x14ac:dyDescent="0.2">
      <c r="E37" s="59">
        <v>1.4999999999999999E-2</v>
      </c>
      <c r="F37" s="5"/>
      <c r="G37" s="1" t="s">
        <v>47</v>
      </c>
      <c r="H37" s="14"/>
      <c r="I37" s="14"/>
      <c r="J37" s="14"/>
      <c r="K37" s="14"/>
      <c r="L37" s="14"/>
    </row>
    <row r="38" spans="1:15" x14ac:dyDescent="0.2">
      <c r="J38"/>
    </row>
    <row r="39" spans="1:15" x14ac:dyDescent="0.2">
      <c r="B39" t="s">
        <v>41</v>
      </c>
      <c r="C39" t="s">
        <v>60</v>
      </c>
      <c r="J39"/>
      <c r="N39" s="18"/>
    </row>
    <row r="40" spans="1:15" x14ac:dyDescent="0.2">
      <c r="C40" t="s">
        <v>59</v>
      </c>
      <c r="J40"/>
      <c r="N40" s="18"/>
    </row>
    <row r="41" spans="1:15" x14ac:dyDescent="0.2">
      <c r="J41" s="18"/>
      <c r="N41" s="18"/>
    </row>
    <row r="42" spans="1:15" ht="15.6" customHeight="1" x14ac:dyDescent="0.2">
      <c r="J42" s="18"/>
      <c r="N42" s="18"/>
    </row>
    <row r="43" spans="1:15" ht="13.15" customHeight="1" x14ac:dyDescent="0.2">
      <c r="E43" s="73" t="s">
        <v>42</v>
      </c>
      <c r="F43" s="73"/>
      <c r="G43" s="73"/>
      <c r="H43" s="73"/>
      <c r="I43" s="73"/>
      <c r="J43" s="73"/>
      <c r="K43" s="73"/>
      <c r="L43" s="73"/>
      <c r="M43" s="73"/>
      <c r="N43" s="73"/>
    </row>
    <row r="44" spans="1:15" ht="13.15" customHeight="1" x14ac:dyDescent="0.2">
      <c r="E44" s="73"/>
      <c r="F44" s="73"/>
      <c r="G44" s="73"/>
      <c r="H44" s="73"/>
      <c r="I44" s="73"/>
      <c r="J44" s="73"/>
      <c r="K44" s="73"/>
      <c r="L44" s="73"/>
      <c r="M44" s="73"/>
      <c r="N44" s="73"/>
    </row>
    <row r="45" spans="1:15" ht="9.75" customHeight="1" x14ac:dyDescent="0.2">
      <c r="J45" s="18"/>
      <c r="N45" s="18"/>
    </row>
    <row r="46" spans="1:15" ht="9.75" customHeight="1" x14ac:dyDescent="0.2">
      <c r="J46" s="18"/>
      <c r="N46" s="18"/>
    </row>
    <row r="47" spans="1:15" ht="28.15" customHeight="1" x14ac:dyDescent="0.25">
      <c r="A47" s="1" t="s">
        <v>0</v>
      </c>
      <c r="D47" s="83" t="str">
        <f>E3</f>
        <v>Bob &amp; Mary Sellers</v>
      </c>
      <c r="E47" s="84"/>
      <c r="F47" s="84"/>
      <c r="G47" s="84"/>
      <c r="H47" s="84"/>
      <c r="I47" s="84"/>
      <c r="J47" s="84"/>
      <c r="L47" s="82" t="s">
        <v>18</v>
      </c>
      <c r="M47" s="82"/>
      <c r="N47" s="19">
        <f>+E5</f>
        <v>46104</v>
      </c>
      <c r="O47" s="69"/>
    </row>
    <row r="48" spans="1:15" ht="9.6" customHeight="1" x14ac:dyDescent="0.2">
      <c r="J48" s="18"/>
      <c r="N48" s="18"/>
    </row>
    <row r="49" spans="1:18" ht="15.75" x14ac:dyDescent="0.25">
      <c r="A49" s="1" t="s">
        <v>1</v>
      </c>
      <c r="E49" s="83" t="str">
        <f>E4</f>
        <v>123 Main St., Stuart, FL 34994</v>
      </c>
      <c r="F49" s="83"/>
      <c r="G49" s="83"/>
      <c r="H49" s="83"/>
      <c r="I49" s="83"/>
      <c r="J49" s="83"/>
      <c r="M49" s="20" t="s">
        <v>49</v>
      </c>
      <c r="N49" s="19">
        <f>E6</f>
        <v>46157</v>
      </c>
    </row>
    <row r="50" spans="1:18" ht="9" customHeight="1" x14ac:dyDescent="0.2">
      <c r="J50" s="18"/>
      <c r="N50" s="18"/>
    </row>
    <row r="51" spans="1:18" ht="9" customHeight="1" x14ac:dyDescent="0.2">
      <c r="J51" s="18"/>
      <c r="N51" s="18"/>
    </row>
    <row r="52" spans="1:18" ht="15" x14ac:dyDescent="0.25">
      <c r="A52" s="21" t="s">
        <v>19</v>
      </c>
      <c r="B52" s="22"/>
      <c r="C52" s="22"/>
      <c r="D52" s="22"/>
      <c r="E52" s="22"/>
      <c r="F52" s="22"/>
      <c r="G52" s="22"/>
      <c r="H52" s="22"/>
      <c r="J52" s="23">
        <f>E7</f>
        <v>750000</v>
      </c>
      <c r="K52" s="24"/>
      <c r="L52" s="23">
        <f>E8</f>
        <v>800000</v>
      </c>
      <c r="M52" s="24"/>
      <c r="N52" s="23">
        <f>E9</f>
        <v>850000</v>
      </c>
      <c r="P52" s="69"/>
    </row>
    <row r="53" spans="1:18" x14ac:dyDescent="0.2">
      <c r="J53" s="18"/>
      <c r="L53" s="18"/>
      <c r="N53" s="18"/>
    </row>
    <row r="54" spans="1:18" x14ac:dyDescent="0.2">
      <c r="A54" s="21" t="s">
        <v>2</v>
      </c>
      <c r="B54" s="22"/>
      <c r="C54" s="22"/>
      <c r="D54" s="22"/>
      <c r="E54" s="22"/>
      <c r="F54" s="22"/>
      <c r="G54" s="22"/>
      <c r="H54" s="22"/>
      <c r="J54" s="18"/>
      <c r="L54" s="18"/>
      <c r="N54" s="18"/>
      <c r="P54" s="56"/>
    </row>
    <row r="55" spans="1:18" ht="7.5" customHeight="1" x14ac:dyDescent="0.2">
      <c r="J55" s="18"/>
      <c r="L55" s="18"/>
      <c r="N55" s="18"/>
    </row>
    <row r="56" spans="1:18" x14ac:dyDescent="0.2">
      <c r="B56" t="s">
        <v>70</v>
      </c>
      <c r="H56" s="61">
        <f>+E10</f>
        <v>2.5000000000000001E-2</v>
      </c>
      <c r="J56" s="68">
        <f>J52*$E$10</f>
        <v>18750</v>
      </c>
      <c r="K56" s="68"/>
      <c r="L56" s="68">
        <f t="shared" ref="L56:N56" si="0">L52*$E$10</f>
        <v>20000</v>
      </c>
      <c r="M56" s="68"/>
      <c r="N56" s="68">
        <f t="shared" si="0"/>
        <v>21250</v>
      </c>
    </row>
    <row r="57" spans="1:18" x14ac:dyDescent="0.2">
      <c r="B57" t="s">
        <v>71</v>
      </c>
      <c r="H57" s="61">
        <f>+E10</f>
        <v>2.5000000000000001E-2</v>
      </c>
      <c r="J57" s="25">
        <f>J52*$E$11</f>
        <v>18750</v>
      </c>
      <c r="K57" s="25"/>
      <c r="L57" s="25">
        <f t="shared" ref="L57:N57" si="1">L52*$E$11</f>
        <v>20000</v>
      </c>
      <c r="M57" s="68"/>
      <c r="N57" s="25">
        <f t="shared" si="1"/>
        <v>21250</v>
      </c>
    </row>
    <row r="58" spans="1:18" ht="7.5" customHeight="1" x14ac:dyDescent="0.2">
      <c r="J58" s="18"/>
      <c r="L58" s="18"/>
      <c r="N58" s="18"/>
    </row>
    <row r="59" spans="1:18" x14ac:dyDescent="0.2">
      <c r="B59" s="71" t="s">
        <v>65</v>
      </c>
      <c r="C59" s="71"/>
      <c r="D59" s="71"/>
      <c r="E59" s="71"/>
      <c r="F59" s="71"/>
      <c r="G59" s="71"/>
      <c r="H59" s="71"/>
      <c r="I59" s="71"/>
      <c r="J59" s="72">
        <f>J129</f>
        <v>3825</v>
      </c>
      <c r="K59" s="72"/>
      <c r="L59" s="72">
        <f>L130</f>
        <v>4075</v>
      </c>
      <c r="M59" s="72"/>
      <c r="N59" s="72">
        <f t="shared" ref="N59" si="2">N130</f>
        <v>4325</v>
      </c>
    </row>
    <row r="60" spans="1:18" x14ac:dyDescent="0.2">
      <c r="B60" t="s">
        <v>22</v>
      </c>
      <c r="J60" s="28">
        <f>IF(+J$52=0,0,+$E29)</f>
        <v>1162.5</v>
      </c>
      <c r="K60" s="27"/>
      <c r="L60" s="28">
        <f>IF(+L52=0,0,+$E29)</f>
        <v>1162.5</v>
      </c>
      <c r="M60" s="27"/>
      <c r="N60" s="28">
        <f>IF(+N52=0,0,+$E29)</f>
        <v>1162.5</v>
      </c>
      <c r="P60" s="56"/>
      <c r="R60" s="56"/>
    </row>
    <row r="61" spans="1:18" ht="7.5" customHeight="1" x14ac:dyDescent="0.2">
      <c r="J61" s="15"/>
      <c r="K61" s="27"/>
      <c r="L61" s="15"/>
      <c r="M61" s="27"/>
      <c r="N61" s="15"/>
    </row>
    <row r="62" spans="1:18" x14ac:dyDescent="0.2">
      <c r="B62" t="s">
        <v>66</v>
      </c>
      <c r="J62" s="28">
        <f>(J52/100)*0.7</f>
        <v>5250</v>
      </c>
      <c r="K62" s="27"/>
      <c r="L62" s="28">
        <f>(L52/100)*0.7</f>
        <v>5600</v>
      </c>
      <c r="M62" s="27"/>
      <c r="N62" s="28">
        <f>(N52/100)*0.7</f>
        <v>5950</v>
      </c>
      <c r="P62" s="56"/>
      <c r="Q62" s="53"/>
    </row>
    <row r="63" spans="1:18" ht="7.5" customHeight="1" x14ac:dyDescent="0.2">
      <c r="J63" s="15"/>
      <c r="K63" s="27"/>
      <c r="L63" s="15"/>
      <c r="M63" s="27"/>
      <c r="N63" s="15"/>
      <c r="P63" s="56"/>
    </row>
    <row r="64" spans="1:18" x14ac:dyDescent="0.2">
      <c r="B64" s="64" t="s">
        <v>73</v>
      </c>
      <c r="E64" s="54">
        <f>+E12</f>
        <v>10000</v>
      </c>
      <c r="F64" s="30">
        <f>IF($E$6&gt;46023,$E$6-46023,$E$6-45658)</f>
        <v>134</v>
      </c>
      <c r="G64" s="55" t="s">
        <v>63</v>
      </c>
      <c r="H64" s="55"/>
      <c r="J64" s="28">
        <f>+E12/365*F64</f>
        <v>3671.2328767123286</v>
      </c>
      <c r="K64" s="27"/>
      <c r="L64" s="28">
        <f>IF(+L$52&gt;0,+$J64,0)</f>
        <v>3671.2328767123286</v>
      </c>
      <c r="M64" s="27"/>
      <c r="N64" s="28">
        <f>IF(+N$52&gt;0,+$J64,0)</f>
        <v>3671.2328767123286</v>
      </c>
      <c r="P64" s="56"/>
      <c r="Q64" s="30"/>
      <c r="R64" s="53"/>
    </row>
    <row r="65" spans="1:18" ht="7.5" customHeight="1" x14ac:dyDescent="0.2">
      <c r="J65" s="15"/>
      <c r="K65" s="27"/>
      <c r="L65" s="15"/>
      <c r="M65" s="27"/>
      <c r="N65" s="15"/>
    </row>
    <row r="66" spans="1:18" x14ac:dyDescent="0.2">
      <c r="B66" s="64" t="s">
        <v>68</v>
      </c>
      <c r="J66" s="28">
        <f>IF(+J$52=0,0,+$E13)</f>
        <v>399</v>
      </c>
      <c r="K66" s="27"/>
      <c r="L66" s="28">
        <f>IF(+L$52=0,0,+$E13)</f>
        <v>399</v>
      </c>
      <c r="M66" s="27"/>
      <c r="N66" s="28">
        <f>IF(+N$52=0,0,+$E13)</f>
        <v>399</v>
      </c>
      <c r="P66" s="56"/>
      <c r="Q66" s="56"/>
      <c r="R66" s="56"/>
    </row>
    <row r="67" spans="1:18" ht="7.5" customHeight="1" x14ac:dyDescent="0.2">
      <c r="J67" s="15"/>
      <c r="K67" s="27"/>
      <c r="L67" s="15"/>
      <c r="M67" s="27"/>
      <c r="N67" s="15"/>
    </row>
    <row r="68" spans="1:18" x14ac:dyDescent="0.2">
      <c r="B68" t="s">
        <v>3</v>
      </c>
      <c r="J68" s="28">
        <f>IF(+J$52=0,0,+$E14)</f>
        <v>35</v>
      </c>
      <c r="K68" s="27"/>
      <c r="L68" s="28">
        <f>IF(+L$52=0,0,+$E14)</f>
        <v>35</v>
      </c>
      <c r="M68" s="27"/>
      <c r="N68" s="28">
        <f>IF(+N$52=0,0,+$E14)</f>
        <v>35</v>
      </c>
      <c r="P68" s="66"/>
      <c r="R68" s="56"/>
    </row>
    <row r="69" spans="1:18" ht="7.5" customHeight="1" x14ac:dyDescent="0.2">
      <c r="J69" s="15"/>
      <c r="K69" s="27"/>
      <c r="L69" s="15"/>
      <c r="M69" s="27"/>
      <c r="N69" s="15"/>
    </row>
    <row r="70" spans="1:18" x14ac:dyDescent="0.2">
      <c r="B70" t="s">
        <v>4</v>
      </c>
      <c r="J70" s="28">
        <f>+E15</f>
        <v>0</v>
      </c>
      <c r="K70" s="27"/>
      <c r="L70" s="28">
        <f>IF(+L$52&gt;0,+$J70,0)</f>
        <v>0</v>
      </c>
      <c r="M70" s="27"/>
      <c r="N70" s="28">
        <f>IF(+N$52&gt;0,+$J70,0)</f>
        <v>0</v>
      </c>
      <c r="R70" s="56"/>
    </row>
    <row r="71" spans="1:18" ht="7.5" customHeight="1" x14ac:dyDescent="0.2">
      <c r="J71" s="15"/>
      <c r="K71" s="27"/>
      <c r="L71" s="15"/>
      <c r="M71" s="27"/>
      <c r="N71" s="15"/>
    </row>
    <row r="72" spans="1:18" x14ac:dyDescent="0.2">
      <c r="B72" t="s">
        <v>20</v>
      </c>
      <c r="J72" s="28">
        <f>+E16</f>
        <v>0</v>
      </c>
      <c r="K72" s="27"/>
      <c r="L72" s="28">
        <f>IF(+L$52&gt;0,+$J72,0)</f>
        <v>0</v>
      </c>
      <c r="M72" s="27"/>
      <c r="N72" s="28">
        <f>IF(+N$52&gt;0,+$J72,0)</f>
        <v>0</v>
      </c>
      <c r="P72" s="66"/>
    </row>
    <row r="73" spans="1:18" ht="7.5" customHeight="1" x14ac:dyDescent="0.2">
      <c r="J73" s="15"/>
      <c r="K73" s="27"/>
      <c r="L73" s="15"/>
      <c r="M73" s="27"/>
      <c r="N73" s="15"/>
    </row>
    <row r="74" spans="1:18" x14ac:dyDescent="0.2">
      <c r="B74" t="s">
        <v>5</v>
      </c>
      <c r="C74" s="26" t="str">
        <f>IF(+G18=" "," ",+G18)</f>
        <v>Seller Credit to Buyers</v>
      </c>
      <c r="D74" s="31"/>
      <c r="E74" s="31"/>
      <c r="F74" s="31"/>
      <c r="G74" s="31"/>
      <c r="H74" s="60">
        <f>E18</f>
        <v>0</v>
      </c>
      <c r="J74" s="58">
        <f>J$52*$E$18</f>
        <v>0</v>
      </c>
      <c r="L74" s="58">
        <f>L$52*$E$18</f>
        <v>0</v>
      </c>
      <c r="N74" s="58">
        <f>N$52*$E$18</f>
        <v>0</v>
      </c>
    </row>
    <row r="75" spans="1:18" ht="7.5" customHeight="1" x14ac:dyDescent="0.2">
      <c r="C75" s="27"/>
      <c r="J75" s="15"/>
      <c r="K75" s="27"/>
      <c r="L75" s="15"/>
      <c r="M75" s="27"/>
      <c r="N75" s="15"/>
    </row>
    <row r="76" spans="1:18" x14ac:dyDescent="0.2">
      <c r="B76" t="s">
        <v>5</v>
      </c>
      <c r="C76" s="26">
        <f>IF(+G19=" "," ",+G19)</f>
        <v>0</v>
      </c>
      <c r="D76" s="31"/>
      <c r="E76" s="31"/>
      <c r="F76" s="31"/>
      <c r="G76" s="31"/>
      <c r="H76" s="31"/>
      <c r="J76" s="28">
        <f>$E$19</f>
        <v>0</v>
      </c>
      <c r="K76" s="27"/>
      <c r="L76" s="28">
        <f>$E$19</f>
        <v>0</v>
      </c>
      <c r="M76" s="27"/>
      <c r="N76" s="28">
        <f>$E$19</f>
        <v>0</v>
      </c>
    </row>
    <row r="77" spans="1:18" ht="7.5" customHeight="1" x14ac:dyDescent="0.2">
      <c r="J77" s="18"/>
      <c r="L77" s="18"/>
      <c r="N77" s="18"/>
    </row>
    <row r="78" spans="1:18" x14ac:dyDescent="0.2">
      <c r="B78" s="1" t="s">
        <v>6</v>
      </c>
      <c r="J78" s="32">
        <f>SUM(J56:J76)</f>
        <v>51842.732876712325</v>
      </c>
      <c r="L78" s="32">
        <f>SUM(L56:L76)</f>
        <v>54942.732876712325</v>
      </c>
      <c r="N78" s="32">
        <f>SUM(N56:N76)</f>
        <v>58042.732876712325</v>
      </c>
      <c r="P78" s="53"/>
      <c r="Q78" s="53"/>
      <c r="R78" s="53"/>
    </row>
    <row r="79" spans="1:18" ht="9" customHeight="1" x14ac:dyDescent="0.2">
      <c r="J79" s="18"/>
      <c r="L79" s="18"/>
      <c r="N79" s="18"/>
    </row>
    <row r="80" spans="1:18" x14ac:dyDescent="0.2">
      <c r="A80" s="21" t="s">
        <v>7</v>
      </c>
      <c r="B80" s="21"/>
      <c r="C80" s="21"/>
      <c r="D80" s="21"/>
      <c r="E80" s="21"/>
      <c r="F80" s="21"/>
      <c r="G80" s="21"/>
      <c r="H80" s="21"/>
      <c r="J80" s="18"/>
      <c r="L80" s="18"/>
      <c r="N80" s="18"/>
    </row>
    <row r="81" spans="2:14" ht="7.5" customHeight="1" x14ac:dyDescent="0.2">
      <c r="J81" s="18"/>
      <c r="L81" s="18"/>
      <c r="N81" s="18"/>
    </row>
    <row r="82" spans="2:14" x14ac:dyDescent="0.2">
      <c r="B82" s="33" t="s">
        <v>8</v>
      </c>
      <c r="C82" t="s">
        <v>9</v>
      </c>
      <c r="J82" s="34">
        <f>J52</f>
        <v>750000</v>
      </c>
      <c r="K82" s="35"/>
      <c r="L82" s="34">
        <f>L52</f>
        <v>800000</v>
      </c>
      <c r="M82" s="35"/>
      <c r="N82" s="34">
        <f>N52</f>
        <v>850000</v>
      </c>
    </row>
    <row r="83" spans="2:14" ht="7.5" customHeight="1" x14ac:dyDescent="0.2">
      <c r="J83" s="18"/>
      <c r="L83" s="18"/>
      <c r="N83" s="18"/>
    </row>
    <row r="84" spans="2:14" x14ac:dyDescent="0.2">
      <c r="B84" s="33" t="s">
        <v>10</v>
      </c>
      <c r="C84" t="s">
        <v>11</v>
      </c>
      <c r="J84" s="28">
        <f>J78</f>
        <v>51842.732876712325</v>
      </c>
      <c r="K84" s="27"/>
      <c r="L84" s="28">
        <f>L78</f>
        <v>54942.732876712325</v>
      </c>
      <c r="M84" s="27"/>
      <c r="N84" s="28">
        <f>N78</f>
        <v>58042.732876712325</v>
      </c>
    </row>
    <row r="85" spans="2:14" ht="7.5" customHeight="1" x14ac:dyDescent="0.2">
      <c r="J85" s="15"/>
      <c r="K85" s="27"/>
      <c r="L85" s="15"/>
      <c r="M85" s="27"/>
      <c r="N85" s="15"/>
    </row>
    <row r="86" spans="2:14" x14ac:dyDescent="0.2">
      <c r="B86" s="33" t="s">
        <v>12</v>
      </c>
      <c r="C86" t="s">
        <v>13</v>
      </c>
      <c r="J86" s="36">
        <f>J82-J84</f>
        <v>698157.26712328766</v>
      </c>
      <c r="K86" s="37"/>
      <c r="L86" s="36">
        <f>L82-L84</f>
        <v>745057.26712328766</v>
      </c>
      <c r="M86" s="37"/>
      <c r="N86" s="36">
        <f>N82-N84</f>
        <v>791957.26712328766</v>
      </c>
    </row>
    <row r="87" spans="2:14" ht="7.5" customHeight="1" x14ac:dyDescent="0.2">
      <c r="J87" s="38"/>
      <c r="K87" s="37"/>
      <c r="L87" s="38"/>
      <c r="M87" s="37"/>
      <c r="N87" s="38"/>
    </row>
    <row r="88" spans="2:14" x14ac:dyDescent="0.2">
      <c r="B88" s="33" t="s">
        <v>10</v>
      </c>
      <c r="C88" t="s">
        <v>14</v>
      </c>
      <c r="J88" s="39">
        <f>+E31</f>
        <v>0</v>
      </c>
      <c r="K88" s="37"/>
      <c r="L88" s="36">
        <f>IF(+L$52&gt;0,+$J88,0)</f>
        <v>0</v>
      </c>
      <c r="M88" s="37"/>
      <c r="N88" s="36">
        <f>IF(+N$52&gt;0,+$J88,0)</f>
        <v>0</v>
      </c>
    </row>
    <row r="89" spans="2:14" ht="7.5" customHeight="1" x14ac:dyDescent="0.2">
      <c r="J89" s="40"/>
      <c r="K89" s="37"/>
      <c r="L89" s="38"/>
      <c r="M89" s="37"/>
      <c r="N89" s="38"/>
    </row>
    <row r="90" spans="2:14" x14ac:dyDescent="0.2">
      <c r="B90" s="33" t="s">
        <v>10</v>
      </c>
      <c r="C90" t="s">
        <v>40</v>
      </c>
      <c r="J90" s="39">
        <f>+E32</f>
        <v>0</v>
      </c>
      <c r="K90" s="37"/>
      <c r="L90" s="36">
        <f>IF(+L$52&gt;0,+$J90,0)</f>
        <v>0</v>
      </c>
      <c r="M90" s="37"/>
      <c r="N90" s="36">
        <f>IF(+N$52&gt;0,+$J90,0)</f>
        <v>0</v>
      </c>
    </row>
    <row r="91" spans="2:14" ht="7.5" customHeight="1" x14ac:dyDescent="0.2">
      <c r="J91" s="40"/>
      <c r="K91" s="37"/>
      <c r="L91" s="38"/>
      <c r="M91" s="37"/>
      <c r="N91" s="38"/>
    </row>
    <row r="92" spans="2:14" x14ac:dyDescent="0.2">
      <c r="B92" s="33" t="s">
        <v>10</v>
      </c>
      <c r="C92" t="s">
        <v>5</v>
      </c>
      <c r="D92" s="26">
        <f>IF(+G34=" "," ",+G34)</f>
        <v>0</v>
      </c>
      <c r="E92" s="31"/>
      <c r="F92" s="31"/>
      <c r="G92" s="31"/>
      <c r="H92" s="31"/>
      <c r="J92" s="39">
        <f>+E34</f>
        <v>0</v>
      </c>
      <c r="K92" s="37"/>
      <c r="L92" s="36">
        <f>IF(+L$52&gt;0,+$J92,0)</f>
        <v>0</v>
      </c>
      <c r="M92" s="37"/>
      <c r="N92" s="36">
        <f>IF(+N$52&gt;0,+$J92,0)</f>
        <v>0</v>
      </c>
    </row>
    <row r="93" spans="2:14" ht="7.5" customHeight="1" x14ac:dyDescent="0.2">
      <c r="J93" s="41"/>
      <c r="K93" s="35"/>
      <c r="L93" s="41"/>
      <c r="M93" s="35"/>
      <c r="N93" s="41"/>
    </row>
    <row r="94" spans="2:14" s="1" customFormat="1" x14ac:dyDescent="0.2">
      <c r="B94" s="42" t="s">
        <v>12</v>
      </c>
      <c r="C94" s="1" t="s">
        <v>39</v>
      </c>
      <c r="J94" s="70">
        <f>J86-J88-J90-J92</f>
        <v>698157.26712328766</v>
      </c>
      <c r="K94" s="24"/>
      <c r="L94" s="70">
        <f>L86-L88-L90-L92</f>
        <v>745057.26712328766</v>
      </c>
      <c r="M94" s="24"/>
      <c r="N94" s="70">
        <f>N86-N88-N90-N92</f>
        <v>791957.26712328766</v>
      </c>
    </row>
    <row r="95" spans="2:14" ht="3.6" customHeight="1" x14ac:dyDescent="0.2">
      <c r="J95" s="18"/>
      <c r="L95" s="18"/>
      <c r="N95" s="18"/>
    </row>
    <row r="96" spans="2:14" x14ac:dyDescent="0.2">
      <c r="B96" s="43" t="s">
        <v>50</v>
      </c>
      <c r="J96" s="18"/>
      <c r="L96" s="18"/>
      <c r="N96" s="18"/>
    </row>
    <row r="97" spans="1:14" ht="9" customHeight="1" x14ac:dyDescent="0.2">
      <c r="J97" s="18"/>
      <c r="N97" s="18"/>
    </row>
    <row r="98" spans="1:14" s="2" customFormat="1" x14ac:dyDescent="0.2">
      <c r="A98" s="78" t="s">
        <v>24</v>
      </c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</row>
    <row r="99" spans="1:14" s="2" customFormat="1" x14ac:dyDescent="0.2">
      <c r="A99" s="78"/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</row>
    <row r="100" spans="1:14" s="2" customFormat="1" x14ac:dyDescent="0.2">
      <c r="J100" s="44"/>
      <c r="N100" s="44"/>
    </row>
    <row r="101" spans="1:14" s="2" customFormat="1" ht="25.15" customHeight="1" x14ac:dyDescent="0.2">
      <c r="A101" s="78" t="s">
        <v>38</v>
      </c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</row>
    <row r="102" spans="1:14" s="2" customFormat="1" x14ac:dyDescent="0.2">
      <c r="C102" s="2" t="s">
        <v>25</v>
      </c>
      <c r="H102" s="62">
        <f>E36</f>
        <v>1.4999999999999999E-2</v>
      </c>
      <c r="J102" s="45">
        <f>$J$52*$E$36</f>
        <v>11250</v>
      </c>
      <c r="L102" s="45">
        <f>$L$52*$E$36</f>
        <v>12000</v>
      </c>
      <c r="N102" s="45">
        <f>$N$52*$E$36</f>
        <v>12750</v>
      </c>
    </row>
    <row r="103" spans="1:14" s="2" customFormat="1" x14ac:dyDescent="0.2">
      <c r="A103"/>
      <c r="B103"/>
      <c r="C103" s="2" t="s">
        <v>26</v>
      </c>
      <c r="E103"/>
      <c r="F103"/>
      <c r="G103"/>
      <c r="H103" s="62">
        <f>E37</f>
        <v>1.4999999999999999E-2</v>
      </c>
      <c r="J103" s="45">
        <f>$J$52*$E$37</f>
        <v>11250</v>
      </c>
      <c r="L103" s="45">
        <f>$L$52*$E$36</f>
        <v>12000</v>
      </c>
      <c r="N103" s="45">
        <f>$N$52*$E$36</f>
        <v>12750</v>
      </c>
    </row>
    <row r="104" spans="1:14" s="2" customFormat="1" x14ac:dyDescent="0.2">
      <c r="J104" s="44"/>
      <c r="N104" s="44"/>
    </row>
    <row r="105" spans="1:14" s="2" customFormat="1" x14ac:dyDescent="0.2">
      <c r="A105" s="2" t="s">
        <v>21</v>
      </c>
      <c r="J105" s="44"/>
      <c r="N105" s="44"/>
    </row>
    <row r="106" spans="1:14" x14ac:dyDescent="0.2">
      <c r="J106" s="18"/>
      <c r="N106" s="18"/>
    </row>
    <row r="107" spans="1:14" x14ac:dyDescent="0.2">
      <c r="A107" s="1" t="s">
        <v>15</v>
      </c>
      <c r="C107" s="31"/>
      <c r="D107" s="31"/>
      <c r="E107" s="31"/>
      <c r="F107" s="31"/>
      <c r="G107" s="31"/>
      <c r="H107" s="31"/>
      <c r="I107" s="31"/>
      <c r="J107" s="46" t="s">
        <v>16</v>
      </c>
      <c r="K107" s="31"/>
      <c r="L107" s="31"/>
      <c r="M107" s="31"/>
      <c r="N107" s="25"/>
    </row>
    <row r="108" spans="1:14" x14ac:dyDescent="0.2">
      <c r="J108" s="47"/>
      <c r="N108" s="18"/>
    </row>
    <row r="109" spans="1:14" x14ac:dyDescent="0.2">
      <c r="A109" s="1" t="s">
        <v>15</v>
      </c>
      <c r="C109" s="31"/>
      <c r="D109" s="31"/>
      <c r="E109" s="31"/>
      <c r="F109" s="31"/>
      <c r="G109" s="31"/>
      <c r="H109" s="31"/>
      <c r="I109" s="31"/>
      <c r="J109" s="46" t="s">
        <v>16</v>
      </c>
      <c r="K109" s="31"/>
      <c r="L109" s="31"/>
      <c r="M109" s="31"/>
      <c r="N109" s="25"/>
    </row>
    <row r="110" spans="1:14" x14ac:dyDescent="0.2">
      <c r="J110" s="47"/>
      <c r="N110" s="18"/>
    </row>
    <row r="111" spans="1:14" x14ac:dyDescent="0.2">
      <c r="A111" s="1" t="s">
        <v>17</v>
      </c>
      <c r="D111" s="31"/>
      <c r="E111" s="31"/>
      <c r="F111" s="31"/>
      <c r="G111" s="31"/>
      <c r="H111" s="31"/>
      <c r="I111" s="31"/>
      <c r="J111" s="46" t="s">
        <v>16</v>
      </c>
      <c r="K111" s="31"/>
      <c r="L111" s="31"/>
      <c r="M111" s="31"/>
      <c r="N111" s="25"/>
    </row>
    <row r="112" spans="1:14" x14ac:dyDescent="0.2">
      <c r="J112" s="18"/>
      <c r="N112" s="63"/>
    </row>
    <row r="113" spans="1:14" x14ac:dyDescent="0.2">
      <c r="J113" s="18"/>
      <c r="N113" s="18"/>
    </row>
    <row r="114" spans="1:14" x14ac:dyDescent="0.2">
      <c r="J114" s="18"/>
      <c r="N114" s="18"/>
    </row>
    <row r="115" spans="1:14" x14ac:dyDescent="0.2">
      <c r="J115" s="18"/>
      <c r="N115" s="18"/>
    </row>
    <row r="116" spans="1:14" x14ac:dyDescent="0.2">
      <c r="J116" s="18"/>
      <c r="N116" s="18"/>
    </row>
    <row r="117" spans="1:14" x14ac:dyDescent="0.2">
      <c r="J117" s="18"/>
      <c r="N117" s="18"/>
    </row>
    <row r="118" spans="1:14" x14ac:dyDescent="0.2">
      <c r="J118" s="18"/>
      <c r="N118" s="18"/>
    </row>
    <row r="119" spans="1:14" x14ac:dyDescent="0.2">
      <c r="J119" s="18"/>
      <c r="N119" s="18"/>
    </row>
    <row r="120" spans="1:14" x14ac:dyDescent="0.2">
      <c r="J120" s="18"/>
      <c r="N120" s="18"/>
    </row>
    <row r="121" spans="1:14" x14ac:dyDescent="0.2">
      <c r="A121" s="1" t="s">
        <v>58</v>
      </c>
      <c r="J121" s="18"/>
      <c r="N121" s="18"/>
    </row>
    <row r="122" spans="1:14" x14ac:dyDescent="0.2">
      <c r="A122" s="48" t="s">
        <v>52</v>
      </c>
      <c r="B122" s="2"/>
      <c r="F122" s="49"/>
      <c r="G122" s="86" t="s">
        <v>53</v>
      </c>
      <c r="J122" s="18"/>
      <c r="N122" s="18"/>
    </row>
    <row r="123" spans="1:14" x14ac:dyDescent="0.2">
      <c r="A123" s="48"/>
      <c r="C123" s="88" t="s">
        <v>54</v>
      </c>
      <c r="D123" s="88"/>
      <c r="E123" s="50" t="s">
        <v>55</v>
      </c>
      <c r="F123" s="51"/>
      <c r="G123" s="87"/>
      <c r="J123" s="18"/>
      <c r="N123" s="18"/>
    </row>
    <row r="124" spans="1:14" x14ac:dyDescent="0.2">
      <c r="A124" s="2"/>
      <c r="C124" s="85">
        <v>0</v>
      </c>
      <c r="D124" s="85"/>
      <c r="E124" s="52">
        <v>100000</v>
      </c>
      <c r="G124" s="53">
        <v>5.75</v>
      </c>
      <c r="J124" s="26">
        <f>IF(+J$52&lt;$C124,0,IF(+J$52&gt;+$E124,575,ROUNDUP((J$52-$D124)/1000,0)*$G124))</f>
        <v>575</v>
      </c>
      <c r="K124" s="27"/>
      <c r="L124" s="26">
        <f>IF(+L$52&lt;$C124,0,IF(+L$52&gt;+$E124,575,ROUNDUP((L$52-$D124)/1000,0)*$G124))</f>
        <v>575</v>
      </c>
      <c r="M124" s="27"/>
      <c r="N124" s="26">
        <f>IF(+N$52&lt;$C124,0,IF(+N$52&gt;+$E124,575,ROUNDUP((N$52-$D124)/1000,0)*$G124))</f>
        <v>575</v>
      </c>
    </row>
    <row r="125" spans="1:14" x14ac:dyDescent="0.2">
      <c r="A125" s="2"/>
      <c r="C125" s="85">
        <v>100000</v>
      </c>
      <c r="D125" s="85"/>
      <c r="E125" s="52">
        <v>1000000</v>
      </c>
      <c r="G125" s="53">
        <v>5</v>
      </c>
      <c r="J125" s="26">
        <f>IF(+J$52&lt;$C125,0,IF(+J$52&gt;$E125,4500,ROUNDUP((J$52-$C125)/1000,0)*$G125))</f>
        <v>3250</v>
      </c>
      <c r="L125" s="26">
        <f>IF(+L$52&lt;$C125,0,IF(+L$52&gt;$E125,4500,ROUNDUP((L$52-$C125)/1000,0)*$G125))</f>
        <v>3500</v>
      </c>
      <c r="N125" s="26">
        <f>IF(+N$52&lt;$C125,0,IF(+N$52&gt;$E125,4500,ROUNDUP((N$52-$C125)/1000,0)*$G125))</f>
        <v>3750</v>
      </c>
    </row>
    <row r="126" spans="1:14" x14ac:dyDescent="0.2">
      <c r="A126" s="2"/>
      <c r="B126" s="2"/>
      <c r="C126" s="85">
        <f>+E125</f>
        <v>1000000</v>
      </c>
      <c r="D126" s="85"/>
      <c r="E126" s="52">
        <v>5000000</v>
      </c>
      <c r="G126" s="53">
        <v>2.5</v>
      </c>
      <c r="J126" s="26">
        <f>IF(+J$52&lt;$C126,0,IF(+J$52&gt;$E126,10000,ROUNDUP((J$52-$C126)/1000,0)*$G126))</f>
        <v>0</v>
      </c>
      <c r="L126" s="26">
        <f>IF(+L$52&lt;$C126,0,IF(+L$52&gt;$E126,10000,ROUNDUP((L$52-$C126)/1000,0)*$G126))</f>
        <v>0</v>
      </c>
      <c r="N126" s="26">
        <f>IF(+N$52&lt;$C126,0,IF(+N$52&gt;$E126,10000,ROUNDUP((N$52-$C126)/1000,0)*$G126))</f>
        <v>0</v>
      </c>
    </row>
    <row r="127" spans="1:14" x14ac:dyDescent="0.2">
      <c r="A127" s="2"/>
      <c r="B127" s="2"/>
      <c r="C127" s="85">
        <f>+E126</f>
        <v>5000000</v>
      </c>
      <c r="D127" s="85"/>
      <c r="E127" s="52">
        <v>10000000</v>
      </c>
      <c r="G127" s="53">
        <v>2.25</v>
      </c>
      <c r="J127" s="26">
        <f>IF(+J$52&lt;$C127,0,IF(+J$52&gt;$E127,11250,ROUNDUP((J$52-$C127)/1000,0)*$G127))</f>
        <v>0</v>
      </c>
      <c r="L127" s="26">
        <f>IF(+L$52&lt;$C127,0,IF(+L$52&gt;$E127,11250,ROUNDUP((L$52-$C127)/1000,0)*$G127))</f>
        <v>0</v>
      </c>
      <c r="N127" s="26">
        <f>IF(+N$52&lt;$C127,0,IF(+N$52&gt;$E127,11250,ROUNDUP((N$52-$C127)/1000,0)*$G127))</f>
        <v>0</v>
      </c>
    </row>
    <row r="128" spans="1:14" x14ac:dyDescent="0.2">
      <c r="A128" s="2"/>
      <c r="B128" s="2"/>
      <c r="C128" s="85">
        <f>+E127</f>
        <v>10000000</v>
      </c>
      <c r="D128" s="85"/>
      <c r="E128" s="52"/>
      <c r="G128" s="53">
        <v>2</v>
      </c>
      <c r="J128" s="26">
        <f>IF(+J$52&lt;$C128,0,(ROUNDUP((J$52-$C128)/1000,0)*$G128))</f>
        <v>0</v>
      </c>
      <c r="L128" s="26">
        <f>IF(+L$52&lt;$C128,0,(ROUNDUP((L$52-$C128)/1000,0)*$G128))</f>
        <v>0</v>
      </c>
      <c r="N128" s="26">
        <f>IF(+N$52&lt;$C128,0,(ROUNDUP((N$52-$C128)/1000,0)*$G128))</f>
        <v>0</v>
      </c>
    </row>
    <row r="129" spans="3:14" x14ac:dyDescent="0.2">
      <c r="C129" s="52"/>
      <c r="D129" s="52"/>
      <c r="E129" s="52"/>
      <c r="I129" s="29" t="s">
        <v>56</v>
      </c>
      <c r="J129" s="18">
        <f>SUM(J124:J128)</f>
        <v>3825</v>
      </c>
      <c r="L129" s="18">
        <f>SUM(L124:L128)</f>
        <v>4075</v>
      </c>
      <c r="N129" s="18">
        <f>SUM(N124:N128)</f>
        <v>4325</v>
      </c>
    </row>
    <row r="130" spans="3:14" x14ac:dyDescent="0.2">
      <c r="I130" s="29" t="s">
        <v>57</v>
      </c>
      <c r="J130" s="18">
        <f>IF(+J129=0,0,IF(J129&lt;100,100,+J129))</f>
        <v>3825</v>
      </c>
      <c r="L130" s="18">
        <f>IF(+L129=0,0,IF(L129&lt;100,100,+L129))</f>
        <v>4075</v>
      </c>
      <c r="N130" s="18">
        <f>IF(+N129=0,0,IF(N129&lt;100,100,+N129))</f>
        <v>4325</v>
      </c>
    </row>
    <row r="131" spans="3:14" x14ac:dyDescent="0.2">
      <c r="J131" s="18"/>
      <c r="N131" s="18"/>
    </row>
    <row r="132" spans="3:14" x14ac:dyDescent="0.2">
      <c r="J132" s="18"/>
      <c r="N132" s="18"/>
    </row>
    <row r="133" spans="3:14" x14ac:dyDescent="0.2">
      <c r="J133" s="18"/>
      <c r="N133" s="18"/>
    </row>
  </sheetData>
  <mergeCells count="18">
    <mergeCell ref="C126:D126"/>
    <mergeCell ref="C127:D127"/>
    <mergeCell ref="C128:D128"/>
    <mergeCell ref="G122:G123"/>
    <mergeCell ref="C123:D123"/>
    <mergeCell ref="C124:D124"/>
    <mergeCell ref="C125:D125"/>
    <mergeCell ref="E43:N44"/>
    <mergeCell ref="E3:L3"/>
    <mergeCell ref="E4:L4"/>
    <mergeCell ref="A101:N101"/>
    <mergeCell ref="G18:L18"/>
    <mergeCell ref="G19:L19"/>
    <mergeCell ref="L47:M47"/>
    <mergeCell ref="G34:L34"/>
    <mergeCell ref="A98:N99"/>
    <mergeCell ref="D47:J47"/>
    <mergeCell ref="E49:J49"/>
  </mergeCells>
  <phoneticPr fontId="4" type="noConversion"/>
  <printOptions horizontalCentered="1" verticalCentered="1"/>
  <pageMargins left="0.25" right="0.25" top="0.15" bottom="0.03" header="0" footer="0.28000000000000003"/>
  <pageSetup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</vt:lpstr>
      <vt:lpstr>Form!Print_Area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Weiss</dc:creator>
  <cp:lastModifiedBy>Andy Spears</cp:lastModifiedBy>
  <cp:lastPrinted>2026-03-23T14:11:24Z</cp:lastPrinted>
  <dcterms:created xsi:type="dcterms:W3CDTF">2004-05-03T02:31:02Z</dcterms:created>
  <dcterms:modified xsi:type="dcterms:W3CDTF">2026-03-23T14:13:59Z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